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540" windowHeight="21280"/>
  </bookViews>
  <sheets>
    <sheet name="Sheet1" sheetId="1" r:id="rId1"/>
  </sheets>
  <calcPr calcId="130407"/>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AB6" i="1"/>
  <c r="Q13"/>
  <c r="E10"/>
  <c r="E9"/>
  <c r="Q20"/>
  <c r="Q21"/>
  <c r="Q19"/>
  <c r="Q18"/>
  <c r="Q17"/>
  <c r="Q16"/>
  <c r="Q15"/>
  <c r="Q14"/>
  <c r="N21"/>
  <c r="N20"/>
  <c r="N19"/>
  <c r="N18"/>
  <c r="N17"/>
  <c r="N16"/>
  <c r="N15"/>
  <c r="N14"/>
  <c r="N13"/>
  <c r="O21"/>
  <c r="P21"/>
  <c r="X19"/>
  <c r="X18"/>
  <c r="X17"/>
  <c r="X16"/>
  <c r="X15"/>
  <c r="X14"/>
  <c r="X13"/>
  <c r="X12"/>
  <c r="X11"/>
  <c r="X10"/>
  <c r="X9"/>
  <c r="X8"/>
  <c r="X7"/>
  <c r="X6"/>
  <c r="AB5"/>
  <c r="AC5"/>
  <c r="X5"/>
  <c r="AB4"/>
  <c r="AF5"/>
  <c r="AE13"/>
  <c r="AE17"/>
  <c r="X4"/>
  <c r="X3"/>
  <c r="X2"/>
  <c r="R21"/>
  <c r="S21"/>
  <c r="AE4"/>
  <c r="AE5"/>
  <c r="AE11"/>
  <c r="AE15"/>
  <c r="AE6"/>
  <c r="AE7"/>
  <c r="AE9"/>
  <c r="AE19"/>
  <c r="AG19"/>
  <c r="AG15"/>
  <c r="AG21"/>
  <c r="O13"/>
  <c r="P13"/>
  <c r="J16"/>
  <c r="R13"/>
  <c r="S13"/>
  <c r="O14"/>
  <c r="P14"/>
  <c r="J7"/>
  <c r="J5"/>
  <c r="J3"/>
  <c r="J4"/>
  <c r="J6"/>
  <c r="J8"/>
  <c r="J9"/>
  <c r="J2"/>
  <c r="I1"/>
  <c r="I2"/>
  <c r="K2"/>
  <c r="I3"/>
  <c r="I4"/>
  <c r="I5"/>
  <c r="I6"/>
  <c r="I7"/>
  <c r="I8"/>
  <c r="I9"/>
  <c r="J20"/>
  <c r="R14"/>
  <c r="S14"/>
  <c r="O15"/>
  <c r="P15"/>
  <c r="K4"/>
  <c r="K3"/>
  <c r="I11"/>
  <c r="A8"/>
  <c r="R15"/>
  <c r="S15"/>
  <c r="O16"/>
  <c r="P16"/>
  <c r="J13"/>
  <c r="R16"/>
  <c r="S16"/>
  <c r="O17"/>
  <c r="P17"/>
  <c r="J19"/>
  <c r="K5"/>
  <c r="R17"/>
  <c r="S17"/>
  <c r="O18"/>
  <c r="P18"/>
  <c r="J21"/>
  <c r="K6"/>
  <c r="R18"/>
  <c r="S18"/>
  <c r="O19"/>
  <c r="P19"/>
  <c r="J18"/>
  <c r="K7"/>
  <c r="J14"/>
  <c r="R19"/>
  <c r="S19"/>
  <c r="O20"/>
  <c r="P20"/>
  <c r="K8"/>
  <c r="R20"/>
  <c r="S20"/>
  <c r="J17"/>
  <c r="J22"/>
  <c r="K9"/>
  <c r="K10"/>
  <c r="P22"/>
</calcChain>
</file>

<file path=xl/sharedStrings.xml><?xml version="1.0" encoding="utf-8"?>
<sst xmlns="http://schemas.openxmlformats.org/spreadsheetml/2006/main" count="50" uniqueCount="41">
  <si>
    <t>Date</t>
  </si>
  <si>
    <t>Accounts</t>
  </si>
  <si>
    <t>Debit</t>
  </si>
  <si>
    <t xml:space="preserve"> </t>
  </si>
  <si>
    <t>Credit</t>
  </si>
  <si>
    <t>Cash</t>
  </si>
  <si>
    <t>Interest Expense</t>
  </si>
  <si>
    <t>Recorded semiannual interest payment</t>
  </si>
  <si>
    <t>Desired interest period?    &gt;&gt;&gt;&gt;</t>
  </si>
  <si>
    <t>1st</t>
  </si>
  <si>
    <t>2nd</t>
  </si>
  <si>
    <t>3rd</t>
  </si>
  <si>
    <t>4th</t>
  </si>
  <si>
    <t>5th</t>
  </si>
  <si>
    <t>6th</t>
  </si>
  <si>
    <t>7th</t>
  </si>
  <si>
    <t>8th</t>
  </si>
  <si>
    <t xml:space="preserve">ENTRY TO RECORD SEMIANNUAL INTEREST </t>
  </si>
  <si>
    <t>What is the stated interest rate?   &gt;&gt;&gt;&gt;</t>
  </si>
  <si>
    <t>rate</t>
  </si>
  <si>
    <t>What is the effective interest rate?   &gt;&gt;&gt;&gt;</t>
  </si>
  <si>
    <t>per</t>
  </si>
  <si>
    <t>FV LS BOP</t>
  </si>
  <si>
    <t>[pmt</t>
  </si>
  <si>
    <t>What is the original life of the bond issue in years?   &gt;&gt;&gt;&gt;</t>
  </si>
  <si>
    <t>FV O A</t>
  </si>
  <si>
    <t>Enter the face amount of the bond issue:   &gt;&gt;&gt;&gt;</t>
  </si>
  <si>
    <t>FV A D</t>
  </si>
  <si>
    <t>Effective-Interest Amortization Table for Each 6-month Period</t>
  </si>
  <si>
    <t>FV LS EOP</t>
  </si>
  <si>
    <t>Period</t>
  </si>
  <si>
    <t>Beg. of Period</t>
  </si>
  <si>
    <t>Payment</t>
  </si>
  <si>
    <t>Amorti-zation</t>
  </si>
  <si>
    <t>End of Period</t>
  </si>
  <si>
    <t>PV LS BOP</t>
  </si>
  <si>
    <t>PV LS EOP</t>
  </si>
  <si>
    <t>PV A D</t>
  </si>
  <si>
    <t>PV O A</t>
  </si>
  <si>
    <t>Discount on Bond Payable</t>
  </si>
  <si>
    <t>On January 1, 20X1, Ace Company issued $100,000 face of 8%, 4-year bonds, with interest payable semiannually.  Ace uses the effective-interest method of amortization.  The bonds were issued to yield 10% annually (5% semiannually), at a price of $93,536.79.
Select the interest period (1st through 8th) from the pick list associated with the first boxed area, then complete the journal entry by selecting the correct amount of interest expense for the chosen interest period.  A correct selection will turn the interest expense box green.
If you need help with the calculation of interest expense, please refer to the myexcelab illustration for effective interest amortization tables.  The first period is correctly preselected as an example.</t>
  </si>
</sst>
</file>

<file path=xl/styles.xml><?xml version="1.0" encoding="utf-8"?>
<styleSheet xmlns="http://schemas.openxmlformats.org/spreadsheetml/2006/main">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_(&quot;$&quot;* #,##0_);_(&quot;$&quot;* \(#,##0\);_(&quot;$&quot;* &quot;-&quot;??_);_(@_)"/>
    <numFmt numFmtId="166" formatCode="_(* #,##0.00_);_(* \(#,##0.00\);_(* &quot;-&quot;_);_(@_)"/>
  </numFmts>
  <fonts count="8">
    <font>
      <sz val="11"/>
      <color theme="1"/>
      <name val="Calibri"/>
      <family val="2"/>
      <scheme val="minor"/>
    </font>
    <font>
      <sz val="10"/>
      <name val="Myriad Web Pro"/>
    </font>
    <font>
      <b/>
      <sz val="12"/>
      <name val="Myriad Web Pro"/>
    </font>
    <font>
      <b/>
      <sz val="10"/>
      <name val="Myriad Web Pro"/>
    </font>
    <font>
      <b/>
      <i/>
      <sz val="10"/>
      <name val="Myriad Web Pro"/>
    </font>
    <font>
      <sz val="11"/>
      <color theme="1"/>
      <name val="Calibri"/>
      <family val="2"/>
      <scheme val="minor"/>
    </font>
    <font>
      <b/>
      <sz val="9"/>
      <name val="Myriad Web Pro"/>
    </font>
    <font>
      <sz val="8"/>
      <name val="Verdana"/>
    </font>
  </fonts>
  <fills count="5">
    <fill>
      <patternFill patternType="none"/>
    </fill>
    <fill>
      <patternFill patternType="gray125"/>
    </fill>
    <fill>
      <patternFill patternType="solid">
        <fgColor indexed="14"/>
        <bgColor indexed="64"/>
      </patternFill>
    </fill>
    <fill>
      <patternFill patternType="solid">
        <fgColor theme="4" tint="0.79998168889431442"/>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slantDashDot">
        <color indexed="64"/>
      </bottom>
      <diagonal/>
    </border>
  </borders>
  <cellStyleXfs count="4">
    <xf numFmtId="0" fontId="0" fillId="0" borderId="0"/>
    <xf numFmtId="0" fontId="1" fillId="2" borderId="0" applyFill="0">
      <alignment horizontal="justify" vertical="top" wrapText="1"/>
    </xf>
    <xf numFmtId="44" fontId="5" fillId="0" borderId="0" applyFont="0" applyFill="0" applyBorder="0" applyAlignment="0" applyProtection="0"/>
    <xf numFmtId="9" fontId="5" fillId="0" borderId="0" applyFont="0" applyFill="0" applyBorder="0" applyAlignment="0" applyProtection="0"/>
  </cellStyleXfs>
  <cellXfs count="65">
    <xf numFmtId="0" fontId="0" fillId="0" borderId="0" xfId="0"/>
    <xf numFmtId="0" fontId="1" fillId="3" borderId="0" xfId="0" applyFont="1" applyFill="1" applyProtection="1">
      <protection hidden="1"/>
    </xf>
    <xf numFmtId="0" fontId="1" fillId="0" borderId="0" xfId="0" applyFont="1" applyProtection="1">
      <protection hidden="1"/>
    </xf>
    <xf numFmtId="0" fontId="1" fillId="0" borderId="0" xfId="0" applyFont="1" applyFill="1" applyProtection="1">
      <protection hidden="1"/>
    </xf>
    <xf numFmtId="0" fontId="1" fillId="3" borderId="0" xfId="0" applyFont="1" applyFill="1" applyAlignment="1" applyProtection="1">
      <alignment vertical="top"/>
      <protection hidden="1"/>
    </xf>
    <xf numFmtId="0" fontId="2" fillId="3" borderId="2" xfId="0" applyFont="1" applyFill="1" applyBorder="1" applyAlignment="1" applyProtection="1">
      <alignment horizontal="center" vertical="center" wrapText="1"/>
      <protection hidden="1"/>
    </xf>
    <xf numFmtId="41" fontId="3" fillId="3" borderId="0" xfId="1" applyNumberFormat="1" applyFont="1" applyFill="1" applyBorder="1" applyAlignment="1" applyProtection="1">
      <alignment horizontal="center" vertical="center"/>
      <protection hidden="1"/>
    </xf>
    <xf numFmtId="164" fontId="3" fillId="0" borderId="0" xfId="0" applyNumberFormat="1" applyFont="1" applyBorder="1" applyAlignment="1" applyProtection="1">
      <alignment horizontal="center" vertical="center"/>
      <protection hidden="1"/>
    </xf>
    <xf numFmtId="41" fontId="3" fillId="3" borderId="0" xfId="0" applyNumberFormat="1" applyFont="1" applyFill="1" applyAlignment="1" applyProtection="1">
      <alignment vertical="center"/>
      <protection hidden="1"/>
    </xf>
    <xf numFmtId="0" fontId="4" fillId="3" borderId="0" xfId="0" applyFont="1" applyFill="1" applyBorder="1" applyAlignment="1" applyProtection="1">
      <alignment horizontal="left" vertical="center"/>
      <protection hidden="1"/>
    </xf>
    <xf numFmtId="0" fontId="2" fillId="0" borderId="0" xfId="1" applyFont="1" applyFill="1" applyAlignment="1" applyProtection="1">
      <alignment horizontal="center" vertical="center" wrapText="1"/>
      <protection hidden="1"/>
    </xf>
    <xf numFmtId="0" fontId="0" fillId="0" borderId="0" xfId="0" applyProtection="1"/>
    <xf numFmtId="0" fontId="2" fillId="0" borderId="0" xfId="0" applyFont="1" applyFill="1" applyBorder="1" applyAlignment="1" applyProtection="1">
      <alignment horizontal="center" vertical="center" wrapText="1"/>
      <protection hidden="1"/>
    </xf>
    <xf numFmtId="0" fontId="0" fillId="0" borderId="0" xfId="0" applyBorder="1"/>
    <xf numFmtId="164" fontId="3" fillId="0" borderId="0" xfId="0" applyNumberFormat="1" applyFont="1" applyBorder="1" applyAlignment="1" applyProtection="1">
      <alignment horizontal="left" vertical="center" indent="1"/>
      <protection hidden="1"/>
    </xf>
    <xf numFmtId="41" fontId="3" fillId="0" borderId="0" xfId="0" applyNumberFormat="1" applyFont="1" applyAlignment="1" applyProtection="1">
      <alignment horizontal="left" vertical="center"/>
      <protection hidden="1"/>
    </xf>
    <xf numFmtId="0" fontId="1" fillId="0" borderId="0" xfId="0" applyFont="1" applyBorder="1" applyProtection="1">
      <protection hidden="1"/>
    </xf>
    <xf numFmtId="0" fontId="1" fillId="0" borderId="0" xfId="0" applyFont="1" applyFill="1" applyProtection="1"/>
    <xf numFmtId="0" fontId="1" fillId="0" borderId="0" xfId="0" applyFont="1" applyFill="1" applyAlignment="1" applyProtection="1">
      <alignment horizontal="center" vertical="center"/>
    </xf>
    <xf numFmtId="9" fontId="1" fillId="0" borderId="0" xfId="0" applyNumberFormat="1" applyFont="1" applyFill="1" applyProtection="1"/>
    <xf numFmtId="0" fontId="1" fillId="0" borderId="0" xfId="0" applyFont="1"/>
    <xf numFmtId="9" fontId="3" fillId="3" borderId="2" xfId="3" applyFont="1" applyFill="1" applyBorder="1" applyAlignment="1" applyProtection="1">
      <alignment horizontal="center" vertical="center"/>
      <protection locked="0" hidden="1"/>
    </xf>
    <xf numFmtId="0" fontId="1" fillId="0" borderId="0" xfId="0" applyFont="1" applyFill="1" applyAlignment="1" applyProtection="1">
      <alignment vertical="center"/>
      <protection hidden="1"/>
    </xf>
    <xf numFmtId="3" fontId="1" fillId="0" borderId="0" xfId="0" applyNumberFormat="1" applyFont="1" applyFill="1" applyAlignment="1" applyProtection="1">
      <alignment vertical="top"/>
    </xf>
    <xf numFmtId="0" fontId="1" fillId="0" borderId="0" xfId="0" applyFont="1" applyFill="1" applyAlignment="1" applyProtection="1">
      <alignment vertical="top"/>
    </xf>
    <xf numFmtId="0" fontId="1" fillId="3" borderId="0" xfId="0" applyFont="1" applyFill="1" applyAlignment="1">
      <alignment vertical="top"/>
    </xf>
    <xf numFmtId="9" fontId="0" fillId="0" borderId="0" xfId="0" applyNumberFormat="1"/>
    <xf numFmtId="1" fontId="0" fillId="0" borderId="0" xfId="0" applyNumberFormat="1"/>
    <xf numFmtId="0" fontId="1" fillId="0" borderId="0" xfId="0" applyFont="1" applyFill="1" applyAlignment="1" applyProtection="1">
      <alignment vertical="center"/>
    </xf>
    <xf numFmtId="42" fontId="0" fillId="0" borderId="0" xfId="0" applyNumberFormat="1"/>
    <xf numFmtId="0" fontId="1" fillId="3" borderId="0" xfId="0" applyFont="1" applyFill="1" applyAlignment="1">
      <alignment vertical="center"/>
    </xf>
    <xf numFmtId="3" fontId="3" fillId="3" borderId="2" xfId="1" applyNumberFormat="1" applyFont="1" applyFill="1" applyBorder="1" applyAlignment="1" applyProtection="1">
      <alignment horizontal="center" vertical="center"/>
      <protection locked="0" hidden="1"/>
    </xf>
    <xf numFmtId="0" fontId="1" fillId="0" borderId="0" xfId="0" applyFont="1" applyProtection="1"/>
    <xf numFmtId="42" fontId="6" fillId="3" borderId="2" xfId="1" applyNumberFormat="1" applyFont="1" applyFill="1" applyBorder="1" applyAlignment="1" applyProtection="1">
      <alignment vertical="center"/>
      <protection locked="0" hidden="1"/>
    </xf>
    <xf numFmtId="8" fontId="0" fillId="0" borderId="0" xfId="0" applyNumberFormat="1"/>
    <xf numFmtId="41" fontId="3" fillId="0" borderId="0" xfId="0" applyNumberFormat="1" applyFont="1" applyFill="1" applyBorder="1" applyAlignment="1" applyProtection="1">
      <alignment vertical="center"/>
      <protection hidden="1"/>
    </xf>
    <xf numFmtId="41" fontId="3" fillId="4" borderId="6" xfId="0" applyNumberFormat="1" applyFont="1" applyFill="1" applyBorder="1" applyAlignment="1" applyProtection="1">
      <alignment horizontal="left" vertical="center"/>
      <protection hidden="1"/>
    </xf>
    <xf numFmtId="41" fontId="3" fillId="4" borderId="6" xfId="0" applyNumberFormat="1" applyFont="1" applyFill="1" applyBorder="1" applyAlignment="1" applyProtection="1">
      <alignment horizontal="center" vertical="center" wrapText="1"/>
      <protection hidden="1"/>
    </xf>
    <xf numFmtId="41" fontId="3" fillId="4" borderId="0" xfId="0" applyNumberFormat="1" applyFont="1" applyFill="1" applyAlignment="1" applyProtection="1">
      <alignment horizontal="left" vertical="center" indent="1"/>
      <protection hidden="1"/>
    </xf>
    <xf numFmtId="44" fontId="6" fillId="4" borderId="0" xfId="1" applyNumberFormat="1" applyFont="1" applyFill="1" applyBorder="1" applyAlignment="1" applyProtection="1">
      <alignment vertical="center"/>
      <protection hidden="1"/>
    </xf>
    <xf numFmtId="44" fontId="6" fillId="4" borderId="0" xfId="1" applyNumberFormat="1" applyFont="1" applyFill="1" applyBorder="1" applyAlignment="1" applyProtection="1">
      <alignment horizontal="center" vertical="center"/>
      <protection hidden="1"/>
    </xf>
    <xf numFmtId="1" fontId="1" fillId="0" borderId="0" xfId="0" applyNumberFormat="1" applyFont="1" applyFill="1" applyProtection="1">
      <protection hidden="1"/>
    </xf>
    <xf numFmtId="43" fontId="6" fillId="4" borderId="0" xfId="1" applyNumberFormat="1" applyFont="1" applyFill="1" applyBorder="1" applyAlignment="1" applyProtection="1">
      <alignment vertical="center"/>
      <protection hidden="1"/>
    </xf>
    <xf numFmtId="43" fontId="6" fillId="4" borderId="0" xfId="1" applyNumberFormat="1" applyFont="1" applyFill="1" applyBorder="1" applyAlignment="1" applyProtection="1">
      <alignment horizontal="center" vertical="center"/>
      <protection hidden="1"/>
    </xf>
    <xf numFmtId="44" fontId="0" fillId="0" borderId="0" xfId="0" applyNumberFormat="1"/>
    <xf numFmtId="43" fontId="1" fillId="0" borderId="0" xfId="2" applyNumberFormat="1" applyFont="1" applyProtection="1"/>
    <xf numFmtId="166" fontId="3" fillId="0" borderId="0" xfId="0" applyNumberFormat="1" applyFont="1" applyBorder="1" applyAlignment="1" applyProtection="1">
      <alignment horizontal="center" vertical="center"/>
      <protection hidden="1"/>
    </xf>
    <xf numFmtId="0" fontId="0" fillId="0" borderId="0" xfId="0" applyNumberFormat="1"/>
    <xf numFmtId="43" fontId="0" fillId="0" borderId="0" xfId="0" applyNumberFormat="1"/>
    <xf numFmtId="166" fontId="3" fillId="3" borderId="0" xfId="0" applyNumberFormat="1" applyFont="1" applyFill="1" applyBorder="1" applyAlignment="1" applyProtection="1">
      <alignment horizontal="center" vertical="center"/>
      <protection hidden="1"/>
    </xf>
    <xf numFmtId="166" fontId="3" fillId="3" borderId="0" xfId="0" applyNumberFormat="1" applyFont="1" applyFill="1" applyBorder="1" applyAlignment="1" applyProtection="1">
      <alignment horizontal="left" vertical="center"/>
      <protection hidden="1"/>
    </xf>
    <xf numFmtId="166" fontId="3" fillId="3" borderId="0" xfId="0" applyNumberFormat="1" applyFont="1" applyFill="1" applyBorder="1" applyAlignment="1" applyProtection="1">
      <alignment horizontal="left" vertical="center" indent="5"/>
      <protection hidden="1"/>
    </xf>
    <xf numFmtId="166" fontId="3" fillId="0" borderId="0" xfId="0" applyNumberFormat="1" applyFont="1" applyFill="1" applyBorder="1" applyAlignment="1" applyProtection="1">
      <alignment horizontal="left" vertical="center" indent="5"/>
      <protection hidden="1"/>
    </xf>
    <xf numFmtId="166" fontId="3" fillId="0" borderId="0" xfId="0" applyNumberFormat="1" applyFont="1" applyFill="1" applyBorder="1" applyAlignment="1" applyProtection="1">
      <alignment horizontal="left" vertical="center"/>
      <protection hidden="1"/>
    </xf>
    <xf numFmtId="0" fontId="1" fillId="0" borderId="0" xfId="0" applyFont="1" applyFill="1" applyAlignment="1" applyProtection="1">
      <alignment vertical="top"/>
      <protection hidden="1"/>
    </xf>
    <xf numFmtId="166" fontId="3" fillId="0" borderId="2" xfId="0" applyNumberFormat="1" applyFont="1" applyBorder="1" applyAlignment="1" applyProtection="1">
      <alignment horizontal="center" vertical="center"/>
      <protection locked="0" hidden="1"/>
    </xf>
    <xf numFmtId="41" fontId="3" fillId="3" borderId="0" xfId="1" applyNumberFormat="1" applyFont="1" applyFill="1" applyBorder="1" applyAlignment="1" applyProtection="1">
      <alignment horizontal="left" vertical="center"/>
      <protection hidden="1"/>
    </xf>
    <xf numFmtId="41" fontId="3" fillId="3" borderId="5" xfId="1" applyNumberFormat="1" applyFont="1" applyFill="1" applyBorder="1" applyAlignment="1" applyProtection="1">
      <alignment horizontal="left" vertical="center"/>
      <protection hidden="1"/>
    </xf>
    <xf numFmtId="41" fontId="3" fillId="4" borderId="6" xfId="0" applyNumberFormat="1" applyFont="1" applyFill="1" applyBorder="1" applyAlignment="1" applyProtection="1">
      <alignment horizontal="center" vertical="center"/>
      <protection hidden="1"/>
    </xf>
    <xf numFmtId="0" fontId="1" fillId="0" borderId="0" xfId="0" applyFont="1" applyFill="1" applyAlignment="1" applyProtection="1">
      <alignment horizontal="center"/>
      <protection hidden="1"/>
    </xf>
    <xf numFmtId="0" fontId="2" fillId="3" borderId="0" xfId="1" applyFont="1" applyFill="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2" fillId="3" borderId="0" xfId="1" applyFont="1" applyFill="1" applyAlignment="1" applyProtection="1">
      <alignment horizontal="left" vertical="center" wrapText="1"/>
      <protection hidden="1"/>
    </xf>
    <xf numFmtId="165" fontId="2" fillId="3" borderId="3" xfId="1" applyNumberFormat="1" applyFont="1" applyFill="1" applyBorder="1" applyAlignment="1" applyProtection="1">
      <alignment horizontal="center" vertical="center" wrapText="1"/>
      <protection locked="0" hidden="1"/>
    </xf>
    <xf numFmtId="165" fontId="2" fillId="3" borderId="4" xfId="1" applyNumberFormat="1" applyFont="1" applyFill="1" applyBorder="1" applyAlignment="1" applyProtection="1">
      <alignment horizontal="center" vertical="center" wrapText="1"/>
      <protection locked="0" hidden="1"/>
    </xf>
  </cellXfs>
  <cellStyles count="4">
    <cellStyle name="Currency" xfId="2" builtinId="4"/>
    <cellStyle name="Normal" xfId="0" builtinId="0"/>
    <cellStyle name="Percent" xfId="3" builtinId="5"/>
    <cellStyle name="POA" xfId="1"/>
  </cellStyles>
  <dxfs count="2">
    <dxf>
      <fill>
        <patternFill>
          <bgColor rgb="FF00FF00"/>
        </patternFill>
      </fill>
    </dxf>
    <dxf>
      <fill>
        <patternFill>
          <bgColor rgb="FF00FF00"/>
        </patternFill>
      </fill>
    </dxf>
  </dxfs>
  <tableStyles count="0" defaultTableStyle="TableStyleMedium2"/>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M32"/>
  <sheetViews>
    <sheetView tabSelected="1" workbookViewId="0">
      <selection sqref="A1:E1"/>
    </sheetView>
  </sheetViews>
  <sheetFormatPr baseColWidth="10" defaultColWidth="0" defaultRowHeight="409.6" zeroHeight="1"/>
  <cols>
    <col min="1" max="1" width="9.5" customWidth="1"/>
    <col min="2" max="2" width="44" customWidth="1"/>
    <col min="3" max="3" width="11.6640625" customWidth="1"/>
    <col min="4" max="4" width="4.6640625" customWidth="1"/>
    <col min="5" max="5" width="11.6640625" customWidth="1"/>
    <col min="6" max="6" width="2" customWidth="1"/>
    <col min="7" max="16384" width="15.1640625" hidden="1"/>
  </cols>
  <sheetData>
    <row r="1" spans="1:39" ht="232.5" customHeight="1">
      <c r="A1" s="60" t="s">
        <v>40</v>
      </c>
      <c r="B1" s="60"/>
      <c r="C1" s="60"/>
      <c r="D1" s="60"/>
      <c r="E1" s="60"/>
      <c r="F1" s="1"/>
      <c r="G1" s="11"/>
      <c r="I1">
        <f t="shared" ref="I1:I9" si="0">IF($D$3=H1,1,0)</f>
        <v>0</v>
      </c>
      <c r="J1" s="13"/>
      <c r="K1" s="47">
        <v>0</v>
      </c>
    </row>
    <row r="2" spans="1:39" ht="24.75" customHeight="1">
      <c r="A2" s="10"/>
      <c r="B2" s="10"/>
      <c r="C2" s="10"/>
      <c r="D2" s="10"/>
      <c r="E2" s="10"/>
      <c r="F2" s="3"/>
      <c r="G2" s="11"/>
      <c r="H2" s="12" t="s">
        <v>9</v>
      </c>
      <c r="I2">
        <f t="shared" si="0"/>
        <v>1</v>
      </c>
      <c r="J2" s="7" t="str">
        <f>"6/30/X1"</f>
        <v>6/30/X1</v>
      </c>
      <c r="K2" s="47">
        <f t="shared" ref="K2:K9" si="1">I2*P13</f>
        <v>4676.839362028687</v>
      </c>
      <c r="N2" s="15" t="s">
        <v>3</v>
      </c>
      <c r="O2" s="15"/>
      <c r="P2" s="15"/>
      <c r="Q2" s="16"/>
      <c r="R2" s="16"/>
      <c r="S2" s="2"/>
      <c r="T2" s="3"/>
      <c r="U2" s="3"/>
      <c r="V2" s="17"/>
      <c r="W2" s="18">
        <v>1</v>
      </c>
      <c r="X2" s="19">
        <f>W2*0.01</f>
        <v>0.01</v>
      </c>
      <c r="Y2" s="17"/>
      <c r="Z2" s="17"/>
      <c r="AF2" t="s">
        <v>3</v>
      </c>
      <c r="AH2" s="20"/>
      <c r="AI2" s="20"/>
      <c r="AJ2" s="17"/>
      <c r="AK2" s="17"/>
      <c r="AL2" s="17"/>
      <c r="AM2" s="17"/>
    </row>
    <row r="3" spans="1:39" ht="30" customHeight="1">
      <c r="A3" s="62" t="s">
        <v>8</v>
      </c>
      <c r="B3" s="62"/>
      <c r="C3" s="62"/>
      <c r="D3" s="63" t="s">
        <v>9</v>
      </c>
      <c r="E3" s="64"/>
      <c r="F3" s="1"/>
      <c r="G3" s="11"/>
      <c r="H3" s="12" t="s">
        <v>10</v>
      </c>
      <c r="I3">
        <f t="shared" si="0"/>
        <v>0</v>
      </c>
      <c r="J3" s="7" t="str">
        <f>"12/31/X1"</f>
        <v>12/31/X1</v>
      </c>
      <c r="K3" s="47">
        <f t="shared" si="1"/>
        <v>0</v>
      </c>
      <c r="N3" s="56" t="s">
        <v>18</v>
      </c>
      <c r="O3" s="56"/>
      <c r="P3" s="56"/>
      <c r="Q3" s="56"/>
      <c r="R3" s="57"/>
      <c r="S3" s="21">
        <v>0.08</v>
      </c>
      <c r="T3" s="4"/>
      <c r="U3" s="22"/>
      <c r="V3" s="23"/>
      <c r="W3" s="18">
        <v>2</v>
      </c>
      <c r="X3" s="19">
        <f t="shared" ref="X3:X19" si="2">W3*0.01</f>
        <v>0.02</v>
      </c>
      <c r="Y3" s="24"/>
      <c r="Z3" s="24"/>
      <c r="AH3" s="25"/>
      <c r="AI3" s="25"/>
      <c r="AJ3" s="24"/>
      <c r="AK3" s="24"/>
      <c r="AL3" s="24"/>
      <c r="AM3" s="24"/>
    </row>
    <row r="4" spans="1:39" ht="15" customHeight="1">
      <c r="A4" s="2"/>
      <c r="B4" s="2"/>
      <c r="C4" s="2"/>
      <c r="D4" s="2"/>
      <c r="E4" s="3"/>
      <c r="F4" s="3"/>
      <c r="G4" s="11"/>
      <c r="H4" s="12" t="s">
        <v>11</v>
      </c>
      <c r="I4">
        <f t="shared" si="0"/>
        <v>0</v>
      </c>
      <c r="J4" s="7" t="str">
        <f>"6/30/X2"</f>
        <v>6/30/X2</v>
      </c>
      <c r="K4" s="47">
        <f t="shared" si="1"/>
        <v>0</v>
      </c>
      <c r="N4" s="2"/>
      <c r="O4" s="2"/>
      <c r="P4" s="2"/>
      <c r="Q4" s="2"/>
      <c r="R4" s="2"/>
      <c r="S4" s="2"/>
      <c r="T4" s="3"/>
      <c r="U4" s="3"/>
      <c r="V4" s="17"/>
      <c r="W4" s="18">
        <v>3</v>
      </c>
      <c r="X4" s="19">
        <f t="shared" si="2"/>
        <v>0.03</v>
      </c>
      <c r="Y4" s="17"/>
      <c r="Z4" s="17"/>
      <c r="AA4" t="s">
        <v>19</v>
      </c>
      <c r="AB4" s="26">
        <f>S5/2</f>
        <v>0.05</v>
      </c>
      <c r="AE4">
        <f>1+AB4</f>
        <v>1.05</v>
      </c>
      <c r="AH4" s="20"/>
      <c r="AI4" s="20"/>
      <c r="AJ4" s="17"/>
      <c r="AK4" s="17"/>
      <c r="AL4" s="17"/>
      <c r="AM4" s="17"/>
    </row>
    <row r="5" spans="1:39" ht="29.25" customHeight="1">
      <c r="A5" s="2"/>
      <c r="B5" s="2"/>
      <c r="C5" s="2"/>
      <c r="D5" s="2"/>
      <c r="E5" s="3"/>
      <c r="F5" s="3"/>
      <c r="G5" s="11"/>
      <c r="H5" s="12" t="s">
        <v>12</v>
      </c>
      <c r="I5">
        <f t="shared" si="0"/>
        <v>0</v>
      </c>
      <c r="J5" s="7" t="str">
        <f>"12/31/X2"</f>
        <v>12/31/X2</v>
      </c>
      <c r="K5" s="47">
        <f t="shared" si="1"/>
        <v>0</v>
      </c>
      <c r="N5" s="56" t="s">
        <v>20</v>
      </c>
      <c r="O5" s="56"/>
      <c r="P5" s="56"/>
      <c r="Q5" s="56"/>
      <c r="R5" s="57"/>
      <c r="S5" s="21">
        <v>0.1</v>
      </c>
      <c r="T5" s="4"/>
      <c r="U5" s="22"/>
      <c r="V5" s="23"/>
      <c r="W5" s="18">
        <v>4</v>
      </c>
      <c r="X5" s="19">
        <f t="shared" si="2"/>
        <v>0.04</v>
      </c>
      <c r="Y5" s="24"/>
      <c r="Z5" s="24"/>
      <c r="AA5" t="s">
        <v>21</v>
      </c>
      <c r="AB5" s="27">
        <f>S7*2</f>
        <v>8</v>
      </c>
      <c r="AC5">
        <f>AB5-1</f>
        <v>7</v>
      </c>
      <c r="AD5" t="s">
        <v>22</v>
      </c>
      <c r="AE5">
        <f>AE4^AB5</f>
        <v>1.4774554437890626</v>
      </c>
      <c r="AF5">
        <f>(1+AB4)^(AB5-1)</f>
        <v>1.4071004226562502</v>
      </c>
      <c r="AH5" s="25"/>
      <c r="AI5" s="25"/>
      <c r="AJ5" s="24"/>
      <c r="AK5" s="24"/>
      <c r="AL5" s="24"/>
      <c r="AM5" s="24"/>
    </row>
    <row r="6" spans="1:39" ht="21" customHeight="1">
      <c r="A6" s="61" t="s">
        <v>17</v>
      </c>
      <c r="B6" s="61"/>
      <c r="C6" s="61"/>
      <c r="D6" s="61"/>
      <c r="E6" s="61"/>
      <c r="F6" s="54"/>
      <c r="G6" s="11"/>
      <c r="H6" s="12" t="s">
        <v>13</v>
      </c>
      <c r="I6">
        <f t="shared" si="0"/>
        <v>0</v>
      </c>
      <c r="J6" s="7" t="str">
        <f>"6/30/X3"</f>
        <v>6/30/X3</v>
      </c>
      <c r="K6" s="47">
        <f t="shared" si="1"/>
        <v>0</v>
      </c>
      <c r="N6" s="2"/>
      <c r="O6" s="2"/>
      <c r="P6" s="2"/>
      <c r="Q6" s="2"/>
      <c r="R6" s="2"/>
      <c r="S6" s="2"/>
      <c r="T6" s="3"/>
      <c r="U6" s="3"/>
      <c r="V6" s="17"/>
      <c r="W6" s="18">
        <v>5</v>
      </c>
      <c r="X6" s="19">
        <f t="shared" si="2"/>
        <v>0.05</v>
      </c>
      <c r="Y6" s="17"/>
      <c r="Z6" s="28"/>
      <c r="AA6" t="s">
        <v>23</v>
      </c>
      <c r="AB6" s="29">
        <f>S9*S3/2</f>
        <v>4000</v>
      </c>
      <c r="AE6">
        <f>AE5-1</f>
        <v>0.47745544378906257</v>
      </c>
      <c r="AH6" s="30"/>
      <c r="AI6" s="30"/>
      <c r="AJ6" s="17"/>
      <c r="AK6" s="17"/>
      <c r="AL6" s="17"/>
      <c r="AM6" s="17"/>
    </row>
    <row r="7" spans="1:39" ht="21" customHeight="1">
      <c r="A7" s="5" t="s">
        <v>0</v>
      </c>
      <c r="B7" s="5" t="s">
        <v>1</v>
      </c>
      <c r="C7" s="5" t="s">
        <v>2</v>
      </c>
      <c r="D7" s="5" t="s">
        <v>3</v>
      </c>
      <c r="E7" s="5" t="s">
        <v>4</v>
      </c>
      <c r="F7" s="54"/>
      <c r="G7" s="11"/>
      <c r="H7" s="12" t="s">
        <v>14</v>
      </c>
      <c r="I7">
        <f t="shared" si="0"/>
        <v>0</v>
      </c>
      <c r="J7" s="7" t="str">
        <f>"12/31/X3"</f>
        <v>12/31/X3</v>
      </c>
      <c r="K7" s="47">
        <f t="shared" si="1"/>
        <v>0</v>
      </c>
      <c r="N7" s="56" t="s">
        <v>24</v>
      </c>
      <c r="O7" s="56"/>
      <c r="P7" s="56"/>
      <c r="Q7" s="56"/>
      <c r="R7" s="57"/>
      <c r="S7" s="31">
        <v>4</v>
      </c>
      <c r="T7" s="4"/>
      <c r="U7" s="22"/>
      <c r="V7" s="23"/>
      <c r="W7" s="18">
        <v>6</v>
      </c>
      <c r="X7" s="19">
        <f t="shared" si="2"/>
        <v>0.06</v>
      </c>
      <c r="Y7" s="24"/>
      <c r="Z7" s="32"/>
      <c r="AD7" t="s">
        <v>25</v>
      </c>
      <c r="AE7">
        <f>AE6/AB4</f>
        <v>9.5491088757812506</v>
      </c>
      <c r="AH7" s="2"/>
      <c r="AI7" s="2"/>
      <c r="AJ7" s="24"/>
      <c r="AK7" s="24"/>
      <c r="AL7" s="24"/>
      <c r="AM7" s="24"/>
    </row>
    <row r="8" spans="1:39" ht="21" customHeight="1">
      <c r="A8" s="53" t="str">
        <f>I11</f>
        <v>6/30/X1</v>
      </c>
      <c r="B8" s="53" t="s">
        <v>6</v>
      </c>
      <c r="C8" s="55">
        <v>4676.839362028687</v>
      </c>
      <c r="D8" s="52"/>
      <c r="E8" s="52" t="s">
        <v>3</v>
      </c>
      <c r="F8" s="3"/>
      <c r="G8" s="11"/>
      <c r="H8" s="12" t="s">
        <v>15</v>
      </c>
      <c r="I8">
        <f t="shared" si="0"/>
        <v>0</v>
      </c>
      <c r="J8" s="7" t="str">
        <f>"6/30/X4"</f>
        <v>6/30/X4</v>
      </c>
      <c r="K8" s="47">
        <f t="shared" si="1"/>
        <v>0</v>
      </c>
      <c r="N8" s="2"/>
      <c r="O8" s="2"/>
      <c r="P8" s="2"/>
      <c r="Q8" s="2"/>
      <c r="R8" s="2"/>
      <c r="S8" s="2"/>
      <c r="T8" s="3"/>
      <c r="U8" s="3"/>
      <c r="V8" s="17"/>
      <c r="W8" s="18">
        <v>7</v>
      </c>
      <c r="X8" s="19">
        <f t="shared" si="2"/>
        <v>7.0000000000000007E-2</v>
      </c>
      <c r="Y8" s="17"/>
      <c r="Z8" s="32"/>
      <c r="AH8" s="2"/>
      <c r="AI8" s="2"/>
      <c r="AJ8" s="17"/>
      <c r="AK8" s="17"/>
      <c r="AL8" s="17"/>
      <c r="AM8" s="17"/>
    </row>
    <row r="9" spans="1:39" ht="21" customHeight="1">
      <c r="A9" s="50" t="s">
        <v>3</v>
      </c>
      <c r="B9" s="51" t="s">
        <v>39</v>
      </c>
      <c r="C9" s="49"/>
      <c r="D9" s="51"/>
      <c r="E9" s="46">
        <f>C8-E10</f>
        <v>676.83936202868699</v>
      </c>
      <c r="F9" s="22"/>
      <c r="G9" s="11"/>
      <c r="H9" s="12" t="s">
        <v>16</v>
      </c>
      <c r="I9">
        <f t="shared" si="0"/>
        <v>0</v>
      </c>
      <c r="J9" s="7" t="str">
        <f>"12/31/X4"</f>
        <v>12/31/X4</v>
      </c>
      <c r="K9" s="47">
        <f t="shared" si="1"/>
        <v>0</v>
      </c>
      <c r="N9" s="56" t="s">
        <v>26</v>
      </c>
      <c r="O9" s="56"/>
      <c r="P9" s="56"/>
      <c r="Q9" s="56"/>
      <c r="R9" s="57"/>
      <c r="S9" s="33">
        <v>100000</v>
      </c>
      <c r="T9" s="4"/>
      <c r="U9" s="22"/>
      <c r="V9" s="24"/>
      <c r="W9" s="18">
        <v>8</v>
      </c>
      <c r="X9" s="19">
        <f t="shared" si="2"/>
        <v>0.08</v>
      </c>
      <c r="Y9" s="24"/>
      <c r="Z9" s="32"/>
      <c r="AD9" t="s">
        <v>27</v>
      </c>
      <c r="AE9">
        <f>AE7-1+(1+AB4)^AB5</f>
        <v>10.026564319570314</v>
      </c>
      <c r="AH9" s="20"/>
      <c r="AI9" s="20"/>
      <c r="AJ9" s="24"/>
      <c r="AK9" s="24"/>
      <c r="AL9" s="24"/>
      <c r="AM9" s="24"/>
    </row>
    <row r="10" spans="1:39" ht="21" customHeight="1">
      <c r="A10" s="52" t="s">
        <v>3</v>
      </c>
      <c r="B10" s="52" t="s">
        <v>5</v>
      </c>
      <c r="C10" s="52"/>
      <c r="D10" s="52"/>
      <c r="E10" s="46">
        <f>Q13</f>
        <v>4000</v>
      </c>
      <c r="F10" s="3"/>
      <c r="G10" s="11"/>
      <c r="J10" s="13"/>
      <c r="K10" s="47">
        <f>SUM(K1:K9)</f>
        <v>4676.839362028687</v>
      </c>
      <c r="N10" s="15" t="s">
        <v>3</v>
      </c>
      <c r="O10" s="15"/>
      <c r="P10" s="15"/>
      <c r="Q10" s="16"/>
      <c r="R10" s="16"/>
      <c r="S10" s="2"/>
      <c r="T10" s="3"/>
      <c r="U10" s="3"/>
      <c r="V10" s="17"/>
      <c r="W10" s="18">
        <v>9</v>
      </c>
      <c r="X10" s="19">
        <f t="shared" si="2"/>
        <v>0.09</v>
      </c>
      <c r="Y10" s="17"/>
      <c r="Z10" s="32"/>
      <c r="AB10" s="34"/>
      <c r="AH10" s="20"/>
      <c r="AI10" s="20"/>
      <c r="AJ10" s="17"/>
      <c r="AK10" s="17"/>
      <c r="AL10" s="17"/>
      <c r="AM10" s="17"/>
    </row>
    <row r="11" spans="1:39" ht="21" customHeight="1" thickBot="1">
      <c r="A11" s="8" t="s">
        <v>3</v>
      </c>
      <c r="B11" s="9" t="s">
        <v>7</v>
      </c>
      <c r="C11" s="6"/>
      <c r="D11" s="6"/>
      <c r="E11" s="6"/>
      <c r="F11" s="3"/>
      <c r="G11" s="11"/>
      <c r="I11" s="14" t="str">
        <f>IF(I9=1,J9,IF(I8=1,J8,IF(I7=1,J7,IF(I6=1,J6,IF(I5=1,J5,IF(I4=1,J4,IF(I3=1,J3,IF(I2=1,J2,""))))))))</f>
        <v>6/30/X1</v>
      </c>
      <c r="N11" s="58" t="s">
        <v>28</v>
      </c>
      <c r="O11" s="58"/>
      <c r="P11" s="58"/>
      <c r="Q11" s="58"/>
      <c r="R11" s="58"/>
      <c r="S11" s="58"/>
      <c r="T11" s="35"/>
      <c r="U11" s="2"/>
      <c r="V11" s="2"/>
      <c r="W11" s="18">
        <v>10</v>
      </c>
      <c r="X11" s="19">
        <f t="shared" si="2"/>
        <v>0.1</v>
      </c>
      <c r="Y11" s="2"/>
      <c r="Z11" s="32"/>
      <c r="AB11" s="34"/>
      <c r="AD11" t="s">
        <v>29</v>
      </c>
      <c r="AE11">
        <f>((1+AB4)^(AB5-1))</f>
        <v>1.4071004226562502</v>
      </c>
      <c r="AH11" s="20"/>
      <c r="AI11" s="20"/>
      <c r="AJ11" s="3"/>
      <c r="AK11" s="59"/>
      <c r="AL11" s="59"/>
      <c r="AM11" s="3"/>
    </row>
    <row r="12" spans="1:39" ht="97.5" customHeight="1" thickBot="1">
      <c r="A12" s="2"/>
      <c r="B12" s="2"/>
      <c r="C12" s="2"/>
      <c r="D12" s="2"/>
      <c r="E12" s="3"/>
      <c r="F12" s="3"/>
      <c r="G12" s="11"/>
      <c r="N12" s="36" t="s">
        <v>30</v>
      </c>
      <c r="O12" s="37" t="s">
        <v>31</v>
      </c>
      <c r="P12" s="37" t="s">
        <v>6</v>
      </c>
      <c r="Q12" s="36" t="s">
        <v>32</v>
      </c>
      <c r="R12" s="37" t="s">
        <v>33</v>
      </c>
      <c r="S12" s="37" t="s">
        <v>34</v>
      </c>
      <c r="T12" s="3"/>
      <c r="U12" s="3"/>
      <c r="V12" s="17"/>
      <c r="W12" s="18">
        <v>11</v>
      </c>
      <c r="X12" s="19">
        <f t="shared" si="2"/>
        <v>0.11</v>
      </c>
      <c r="Y12" s="17"/>
      <c r="Z12" s="32"/>
      <c r="AH12" s="20"/>
      <c r="AI12" s="20"/>
      <c r="AJ12" s="17"/>
      <c r="AK12" s="17"/>
      <c r="AL12" s="17"/>
      <c r="AM12" s="17"/>
    </row>
    <row r="13" spans="1:39" ht="21" hidden="1" customHeight="1">
      <c r="A13" s="2"/>
      <c r="B13" s="2"/>
      <c r="C13" s="2"/>
      <c r="D13" s="2"/>
      <c r="E13" s="3"/>
      <c r="F13" s="3"/>
      <c r="G13" s="11"/>
      <c r="J13" s="48">
        <f>P15</f>
        <v>4746.2153966366268</v>
      </c>
      <c r="N13" s="38" t="str">
        <f>IF($S$7&lt;1,"","1st")</f>
        <v>1st</v>
      </c>
      <c r="O13" s="39">
        <f>AG21</f>
        <v>93536.787240573743</v>
      </c>
      <c r="P13" s="39">
        <f t="shared" ref="P13:P21" si="3">O13*$S$5/2</f>
        <v>4676.839362028687</v>
      </c>
      <c r="Q13" s="39">
        <f>IF($S$7&lt;1,0,$AB$6)</f>
        <v>4000</v>
      </c>
      <c r="R13" s="40">
        <f>P13-Q13</f>
        <v>676.83936202868699</v>
      </c>
      <c r="S13" s="40">
        <f>O13+R13</f>
        <v>94213.626602602424</v>
      </c>
      <c r="T13" s="3"/>
      <c r="U13" s="2"/>
      <c r="V13" s="2"/>
      <c r="W13" s="18">
        <v>12</v>
      </c>
      <c r="X13" s="19">
        <f t="shared" si="2"/>
        <v>0.12</v>
      </c>
      <c r="Y13" s="2"/>
      <c r="Z13" s="32"/>
      <c r="AD13" t="s">
        <v>35</v>
      </c>
      <c r="AE13">
        <f>1/AF5</f>
        <v>0.71068133013012147</v>
      </c>
      <c r="AH13" s="20"/>
      <c r="AI13" s="20"/>
      <c r="AJ13" s="3"/>
      <c r="AK13" s="3"/>
      <c r="AL13" s="41"/>
      <c r="AM13" s="3"/>
    </row>
    <row r="14" spans="1:39" ht="14" hidden="1">
      <c r="J14" s="48">
        <f>P19</f>
        <v>4907.0294784580492</v>
      </c>
      <c r="N14" s="38" t="str">
        <f>IF($S$7&lt;1,"","2nd")</f>
        <v>2nd</v>
      </c>
      <c r="O14" s="42">
        <f>IF(Q14=0,0,S13)</f>
        <v>94213.626602602424</v>
      </c>
      <c r="P14" s="42">
        <f t="shared" si="3"/>
        <v>4710.6813301301218</v>
      </c>
      <c r="Q14" s="42">
        <f>IF($S$7&lt;1,0,$AB$6)</f>
        <v>4000</v>
      </c>
      <c r="R14" s="43">
        <f>P14-Q14</f>
        <v>710.68133013012175</v>
      </c>
      <c r="S14" s="43">
        <f>O14+R14</f>
        <v>94924.307932732539</v>
      </c>
      <c r="T14" s="3"/>
      <c r="U14" s="2"/>
      <c r="V14" s="2"/>
      <c r="W14" s="18">
        <v>13</v>
      </c>
      <c r="X14" s="19">
        <f t="shared" si="2"/>
        <v>0.13</v>
      </c>
      <c r="Y14" s="2"/>
      <c r="Z14" s="32"/>
      <c r="AH14" s="20"/>
      <c r="AI14" s="20"/>
      <c r="AJ14" s="3"/>
      <c r="AK14" s="3"/>
      <c r="AL14" s="3"/>
      <c r="AM14" s="3"/>
    </row>
    <row r="15" spans="1:39" ht="14" hidden="1">
      <c r="J15" s="48">
        <v>4000</v>
      </c>
      <c r="N15" s="38" t="str">
        <f>IF($S$7&lt;2,"","3rd")</f>
        <v>3rd</v>
      </c>
      <c r="O15" s="42">
        <f t="shared" ref="O15:O21" si="4">IF(Q15=0,0,S14)</f>
        <v>94924.307932732539</v>
      </c>
      <c r="P15" s="42">
        <f t="shared" si="3"/>
        <v>4746.2153966366268</v>
      </c>
      <c r="Q15" s="42">
        <f>IF($S$7&lt;2,0,$AB$6)</f>
        <v>4000</v>
      </c>
      <c r="R15" s="43">
        <f t="shared" ref="R15:R21" si="5">P15-Q15</f>
        <v>746.21539663662679</v>
      </c>
      <c r="S15" s="43">
        <f t="shared" ref="S15:S21" si="6">O15+R15</f>
        <v>95670.523329369171</v>
      </c>
      <c r="T15" s="3"/>
      <c r="U15" s="2"/>
      <c r="V15" s="2"/>
      <c r="W15" s="18">
        <v>14</v>
      </c>
      <c r="X15" s="19">
        <f t="shared" si="2"/>
        <v>0.14000000000000001</v>
      </c>
      <c r="Y15" s="2"/>
      <c r="Z15" s="32"/>
      <c r="AD15" t="s">
        <v>36</v>
      </c>
      <c r="AE15">
        <f>1/AE5</f>
        <v>0.67683936202868722</v>
      </c>
      <c r="AG15" s="44">
        <f>AE15*S9</f>
        <v>67683.936202868717</v>
      </c>
      <c r="AH15" s="20"/>
      <c r="AI15" s="20"/>
      <c r="AJ15" s="3"/>
      <c r="AK15" s="3"/>
      <c r="AL15" s="3"/>
      <c r="AM15" s="3"/>
    </row>
    <row r="16" spans="1:39" ht="14" hidden="1">
      <c r="J16" s="48">
        <f>P13</f>
        <v>4676.839362028687</v>
      </c>
      <c r="N16" s="38" t="str">
        <f>IF($S$7&lt;2,"","4th")</f>
        <v>4th</v>
      </c>
      <c r="O16" s="42">
        <f t="shared" si="4"/>
        <v>95670.523329369171</v>
      </c>
      <c r="P16" s="42">
        <f t="shared" si="3"/>
        <v>4783.5261664684585</v>
      </c>
      <c r="Q16" s="42">
        <f>IF($S$7&lt;2,0,$AB$6)</f>
        <v>4000</v>
      </c>
      <c r="R16" s="43">
        <f t="shared" si="5"/>
        <v>783.52616646845854</v>
      </c>
      <c r="S16" s="43">
        <f t="shared" si="6"/>
        <v>96454.049495837622</v>
      </c>
      <c r="T16" s="3"/>
      <c r="U16" s="2"/>
      <c r="V16" s="2"/>
      <c r="W16" s="18">
        <v>15</v>
      </c>
      <c r="X16" s="19">
        <f t="shared" si="2"/>
        <v>0.15</v>
      </c>
      <c r="Y16" s="2"/>
      <c r="Z16" s="32"/>
      <c r="AH16" s="20"/>
      <c r="AI16" s="20"/>
      <c r="AJ16" s="3"/>
      <c r="AK16" s="3"/>
      <c r="AL16" s="3"/>
      <c r="AM16" s="3"/>
    </row>
    <row r="17" spans="10:39" ht="14" hidden="1">
      <c r="J17" s="48">
        <f>P20</f>
        <v>4952.3809523809514</v>
      </c>
      <c r="N17" s="38" t="str">
        <f>IF($S$7&lt;3,"","5th")</f>
        <v>5th</v>
      </c>
      <c r="O17" s="42">
        <f t="shared" si="4"/>
        <v>96454.049495837622</v>
      </c>
      <c r="P17" s="42">
        <f t="shared" si="3"/>
        <v>4822.7024747918813</v>
      </c>
      <c r="Q17" s="42">
        <f>IF($S$7&lt;3,0,$AB$6)</f>
        <v>4000</v>
      </c>
      <c r="R17" s="43">
        <f t="shared" si="5"/>
        <v>822.70247479188129</v>
      </c>
      <c r="S17" s="43">
        <f t="shared" si="6"/>
        <v>97276.751970629499</v>
      </c>
      <c r="T17" s="3"/>
      <c r="U17" s="2"/>
      <c r="V17" s="2"/>
      <c r="W17" s="18">
        <v>16</v>
      </c>
      <c r="X17" s="19">
        <f t="shared" si="2"/>
        <v>0.16</v>
      </c>
      <c r="Y17" s="2"/>
      <c r="Z17" s="32"/>
      <c r="AB17" s="34"/>
      <c r="AD17" t="s">
        <v>37</v>
      </c>
      <c r="AE17">
        <f>1+((1-AE13)/AB4)</f>
        <v>6.7863733973975702</v>
      </c>
      <c r="AH17" s="20"/>
      <c r="AI17" s="20"/>
      <c r="AJ17" s="3"/>
      <c r="AK17" s="3"/>
      <c r="AL17" s="3"/>
      <c r="AM17" s="3"/>
    </row>
    <row r="18" spans="10:39" ht="14" hidden="1">
      <c r="J18" s="48">
        <f>P18</f>
        <v>4863.8375985314751</v>
      </c>
      <c r="N18" s="38" t="str">
        <f>IF($S$7&lt;3,"","6th")</f>
        <v>6th</v>
      </c>
      <c r="O18" s="42">
        <f t="shared" si="4"/>
        <v>97276.751970629499</v>
      </c>
      <c r="P18" s="42">
        <f t="shared" si="3"/>
        <v>4863.8375985314751</v>
      </c>
      <c r="Q18" s="42">
        <f>IF($S$7&lt;3,0,$AB$6)</f>
        <v>4000</v>
      </c>
      <c r="R18" s="43">
        <f t="shared" si="5"/>
        <v>863.83759853147512</v>
      </c>
      <c r="S18" s="43">
        <f t="shared" si="6"/>
        <v>98140.589569160977</v>
      </c>
      <c r="T18" s="3"/>
      <c r="U18" s="2"/>
      <c r="V18" s="2"/>
      <c r="W18" s="18">
        <v>17</v>
      </c>
      <c r="X18" s="19">
        <f t="shared" si="2"/>
        <v>0.17</v>
      </c>
      <c r="Y18" s="2"/>
      <c r="Z18" s="32"/>
      <c r="AH18" s="20"/>
      <c r="AI18" s="20"/>
      <c r="AJ18" s="3"/>
      <c r="AK18" s="3"/>
      <c r="AL18" s="3"/>
      <c r="AM18" s="3"/>
    </row>
    <row r="19" spans="10:39" ht="14" hidden="1">
      <c r="J19" s="48">
        <f>P16</f>
        <v>4783.5261664684585</v>
      </c>
      <c r="N19" s="38" t="str">
        <f>IF($S$7&lt;4,"","7th")</f>
        <v>7th</v>
      </c>
      <c r="O19" s="42">
        <f t="shared" si="4"/>
        <v>98140.589569160977</v>
      </c>
      <c r="P19" s="42">
        <f t="shared" si="3"/>
        <v>4907.0294784580492</v>
      </c>
      <c r="Q19" s="42">
        <f>IF($S$7&lt;4,0,$AB$6)</f>
        <v>4000</v>
      </c>
      <c r="R19" s="43">
        <f t="shared" si="5"/>
        <v>907.0294784580492</v>
      </c>
      <c r="S19" s="43">
        <f t="shared" si="6"/>
        <v>99047.619047619024</v>
      </c>
      <c r="T19" s="3"/>
      <c r="U19" s="2"/>
      <c r="V19" s="2"/>
      <c r="W19" s="18">
        <v>18</v>
      </c>
      <c r="X19" s="19">
        <f t="shared" si="2"/>
        <v>0.18</v>
      </c>
      <c r="Y19" s="2"/>
      <c r="Z19" s="32"/>
      <c r="AB19" s="34"/>
      <c r="AD19" t="s">
        <v>38</v>
      </c>
      <c r="AE19">
        <f>(1-(AE15))/AB4</f>
        <v>6.4632127594262556</v>
      </c>
      <c r="AG19" s="44">
        <f>AB6*AE19</f>
        <v>25852.851037705022</v>
      </c>
      <c r="AH19" s="20"/>
      <c r="AI19" s="20"/>
      <c r="AJ19" s="3"/>
      <c r="AK19" s="3"/>
      <c r="AL19" s="3"/>
      <c r="AM19" s="3"/>
    </row>
    <row r="20" spans="10:39" ht="14" hidden="1">
      <c r="J20" s="48">
        <f>P14</f>
        <v>4710.6813301301218</v>
      </c>
      <c r="N20" s="38" t="str">
        <f>IF($S$7&lt;4,"","8th")</f>
        <v>8th</v>
      </c>
      <c r="O20" s="42">
        <f t="shared" si="4"/>
        <v>99047.619047619024</v>
      </c>
      <c r="P20" s="42">
        <f t="shared" si="3"/>
        <v>4952.3809523809514</v>
      </c>
      <c r="Q20" s="42">
        <f>IF($S$7&lt;4,0,$AB$6)</f>
        <v>4000</v>
      </c>
      <c r="R20" s="43">
        <f t="shared" si="5"/>
        <v>952.38095238095138</v>
      </c>
      <c r="S20" s="43">
        <f t="shared" si="6"/>
        <v>99999.999999999971</v>
      </c>
      <c r="T20" s="3"/>
      <c r="U20" s="2"/>
      <c r="V20" s="2"/>
      <c r="W20" s="18">
        <v>19</v>
      </c>
      <c r="X20" s="2"/>
      <c r="Y20" s="2"/>
      <c r="Z20" s="32"/>
      <c r="AH20" s="20"/>
      <c r="AI20" s="20"/>
      <c r="AJ20" s="3"/>
      <c r="AK20" s="3"/>
      <c r="AL20" s="3"/>
      <c r="AM20" s="3"/>
    </row>
    <row r="21" spans="10:39" ht="14" hidden="1">
      <c r="J21" s="48">
        <f>P17</f>
        <v>4822.7024747918813</v>
      </c>
      <c r="N21" s="38" t="str">
        <f>IF($S$7&lt;5,"","9th")</f>
        <v/>
      </c>
      <c r="O21" s="42">
        <f t="shared" si="4"/>
        <v>0</v>
      </c>
      <c r="P21" s="42">
        <f t="shared" si="3"/>
        <v>0</v>
      </c>
      <c r="Q21" s="42">
        <f>IF($S$7&lt;5,0,$AB$6)</f>
        <v>0</v>
      </c>
      <c r="R21" s="43">
        <f t="shared" si="5"/>
        <v>0</v>
      </c>
      <c r="S21" s="43">
        <f t="shared" si="6"/>
        <v>0</v>
      </c>
      <c r="T21" s="3"/>
      <c r="U21" s="2"/>
      <c r="V21" s="2"/>
      <c r="W21" s="18">
        <v>20</v>
      </c>
      <c r="X21" s="2"/>
      <c r="Y21" s="2"/>
      <c r="Z21" s="32"/>
      <c r="AG21" s="44">
        <f>SUM(AG15:AG19)</f>
        <v>93536.787240573743</v>
      </c>
      <c r="AH21" s="20"/>
      <c r="AI21" s="20"/>
      <c r="AJ21" s="3"/>
      <c r="AK21" s="3"/>
      <c r="AL21" s="3"/>
      <c r="AM21" s="3"/>
    </row>
    <row r="22" spans="10:39" ht="14" hidden="1">
      <c r="J22" s="48">
        <f>SUM(J13:J21)</f>
        <v>42463.212759426257</v>
      </c>
      <c r="N22" s="38"/>
      <c r="O22" s="42"/>
      <c r="P22" s="42">
        <f>SUM(P13:P21)</f>
        <v>38463.212759426249</v>
      </c>
      <c r="Q22" s="42"/>
      <c r="R22" s="43"/>
      <c r="S22" s="43"/>
      <c r="T22" s="3"/>
      <c r="U22" s="2"/>
      <c r="V22" s="2"/>
      <c r="W22" s="18">
        <v>21</v>
      </c>
      <c r="X22" s="2"/>
      <c r="Y22" s="2"/>
      <c r="Z22" s="32"/>
      <c r="AA22" s="45"/>
      <c r="AB22" s="32"/>
      <c r="AC22" s="32"/>
      <c r="AD22" s="32"/>
      <c r="AE22" s="32"/>
      <c r="AF22" s="32"/>
      <c r="AG22" s="20"/>
      <c r="AH22" s="20"/>
      <c r="AI22" s="20"/>
      <c r="AJ22" s="3"/>
      <c r="AK22" s="3"/>
      <c r="AL22" s="3"/>
      <c r="AM22" s="3"/>
    </row>
    <row r="23" spans="10:39" ht="14" hidden="1">
      <c r="N23" s="38"/>
      <c r="O23" s="42"/>
      <c r="P23" s="42"/>
      <c r="Q23" s="42"/>
      <c r="R23" s="43"/>
      <c r="S23" s="43"/>
      <c r="T23" s="3"/>
      <c r="U23" s="2"/>
      <c r="V23" s="2"/>
      <c r="W23" s="18">
        <v>22</v>
      </c>
      <c r="X23" s="2"/>
      <c r="Y23" s="2"/>
      <c r="Z23" s="32"/>
      <c r="AA23" s="45"/>
      <c r="AB23" s="32"/>
      <c r="AC23" s="32"/>
      <c r="AD23" s="32"/>
      <c r="AE23" s="32"/>
      <c r="AF23" s="32"/>
      <c r="AG23" s="20"/>
      <c r="AH23" s="20"/>
      <c r="AI23" s="20"/>
      <c r="AJ23" s="3"/>
      <c r="AK23" s="3"/>
      <c r="AL23" s="3"/>
      <c r="AM23" s="3"/>
    </row>
    <row r="24" spans="10:39" ht="14" hidden="1">
      <c r="N24" s="38"/>
      <c r="O24" s="42"/>
      <c r="P24" s="42"/>
      <c r="Q24" s="42"/>
      <c r="R24" s="43"/>
      <c r="S24" s="43"/>
      <c r="T24" s="3"/>
      <c r="U24" s="2"/>
      <c r="V24" s="2"/>
      <c r="W24" s="18">
        <v>23</v>
      </c>
      <c r="X24" s="2"/>
      <c r="Y24" s="2"/>
      <c r="Z24" s="32"/>
      <c r="AA24" s="32"/>
      <c r="AB24" s="32"/>
      <c r="AC24" s="32"/>
      <c r="AD24" s="32"/>
      <c r="AE24" s="32"/>
      <c r="AF24" s="32"/>
      <c r="AG24" s="20"/>
      <c r="AH24" s="20"/>
      <c r="AI24" s="20"/>
      <c r="AJ24" s="3"/>
      <c r="AK24" s="3"/>
      <c r="AL24" s="3"/>
      <c r="AM24" s="3"/>
    </row>
    <row r="25" spans="10:39" ht="14" hidden="1">
      <c r="N25" s="38"/>
      <c r="O25" s="42"/>
      <c r="P25" s="42"/>
      <c r="Q25" s="42"/>
      <c r="R25" s="43"/>
      <c r="S25" s="43"/>
      <c r="T25" s="3"/>
      <c r="U25" s="2"/>
      <c r="V25" s="2"/>
      <c r="W25" s="18">
        <v>24</v>
      </c>
      <c r="X25" s="2"/>
      <c r="Y25" s="2"/>
      <c r="Z25" s="32"/>
      <c r="AA25" s="32"/>
      <c r="AB25" s="32"/>
      <c r="AC25" s="32"/>
      <c r="AD25" s="32"/>
      <c r="AE25" s="32"/>
      <c r="AF25" s="32"/>
      <c r="AG25" s="20"/>
      <c r="AH25" s="20"/>
      <c r="AI25" s="20"/>
      <c r="AJ25" s="3"/>
      <c r="AK25" s="3"/>
      <c r="AL25" s="3"/>
      <c r="AM25" s="3"/>
    </row>
    <row r="26" spans="10:39" ht="14" hidden="1">
      <c r="N26" s="38"/>
      <c r="O26" s="42"/>
      <c r="P26" s="42"/>
      <c r="Q26" s="42"/>
      <c r="R26" s="43"/>
      <c r="S26" s="43"/>
      <c r="T26" s="3"/>
      <c r="U26" s="2"/>
      <c r="V26" s="2"/>
      <c r="W26" s="18">
        <v>25</v>
      </c>
      <c r="X26" s="2"/>
      <c r="Y26" s="2"/>
      <c r="Z26" s="32"/>
      <c r="AA26" s="32"/>
      <c r="AB26" s="32"/>
      <c r="AC26" s="32"/>
      <c r="AD26" s="32"/>
      <c r="AE26" s="32"/>
      <c r="AF26" s="32"/>
      <c r="AG26" s="20"/>
      <c r="AH26" s="20"/>
      <c r="AI26" s="20"/>
      <c r="AJ26" s="3"/>
      <c r="AK26" s="3"/>
      <c r="AL26" s="3"/>
      <c r="AM26" s="3"/>
    </row>
    <row r="27" spans="10:39" ht="14" hidden="1">
      <c r="N27" s="38"/>
      <c r="O27" s="42"/>
      <c r="P27" s="42"/>
      <c r="Q27" s="42"/>
      <c r="R27" s="43"/>
      <c r="S27" s="43"/>
      <c r="T27" s="3"/>
      <c r="U27" s="2"/>
      <c r="V27" s="2"/>
      <c r="W27" s="18">
        <v>26</v>
      </c>
      <c r="X27" s="2"/>
      <c r="Y27" s="2"/>
      <c r="Z27" s="32"/>
      <c r="AA27" s="32"/>
      <c r="AB27" s="32"/>
      <c r="AC27" s="32"/>
      <c r="AD27" s="32"/>
      <c r="AE27" s="32"/>
      <c r="AF27" s="32"/>
      <c r="AG27" s="20"/>
      <c r="AH27" s="20"/>
      <c r="AI27" s="20"/>
      <c r="AJ27" s="3"/>
      <c r="AK27" s="3"/>
      <c r="AL27" s="3"/>
      <c r="AM27" s="3"/>
    </row>
    <row r="28" spans="10:39" ht="14" hidden="1">
      <c r="N28" s="38"/>
      <c r="O28" s="42"/>
      <c r="P28" s="42"/>
      <c r="Q28" s="42"/>
      <c r="R28" s="43"/>
      <c r="S28" s="43"/>
      <c r="T28" s="3"/>
      <c r="U28" s="2"/>
      <c r="V28" s="2"/>
      <c r="W28" s="18">
        <v>27</v>
      </c>
      <c r="X28" s="2"/>
      <c r="Y28" s="2"/>
      <c r="Z28" s="32"/>
      <c r="AA28" s="32"/>
      <c r="AB28" s="32"/>
      <c r="AC28" s="32"/>
      <c r="AD28" s="32"/>
      <c r="AE28" s="32"/>
      <c r="AF28" s="32"/>
      <c r="AG28" s="20"/>
      <c r="AH28" s="20"/>
      <c r="AI28" s="20"/>
      <c r="AJ28" s="3"/>
      <c r="AK28" s="3"/>
      <c r="AL28" s="3"/>
      <c r="AM28" s="3"/>
    </row>
    <row r="29" spans="10:39" ht="14" hidden="1">
      <c r="N29" s="38"/>
      <c r="O29" s="42"/>
      <c r="P29" s="42"/>
      <c r="Q29" s="42"/>
      <c r="R29" s="43"/>
      <c r="S29" s="43"/>
      <c r="T29" s="3"/>
      <c r="U29" s="2"/>
      <c r="V29" s="2"/>
      <c r="W29" s="18">
        <v>28</v>
      </c>
      <c r="X29" s="2"/>
      <c r="Y29" s="2"/>
      <c r="Z29" s="32"/>
      <c r="AA29" s="32"/>
      <c r="AB29" s="32"/>
      <c r="AC29" s="32"/>
      <c r="AD29" s="32"/>
      <c r="AE29" s="32"/>
      <c r="AF29" s="32"/>
      <c r="AG29" s="20"/>
      <c r="AH29" s="20"/>
      <c r="AI29" s="20"/>
      <c r="AJ29" s="3"/>
      <c r="AK29" s="3"/>
      <c r="AL29" s="3"/>
      <c r="AM29" s="3"/>
    </row>
    <row r="30" spans="10:39" ht="14" hidden="1">
      <c r="N30" s="38"/>
      <c r="O30" s="42"/>
      <c r="P30" s="42"/>
      <c r="Q30" s="42"/>
      <c r="R30" s="43"/>
      <c r="S30" s="43"/>
      <c r="T30" s="3"/>
      <c r="U30" s="2"/>
      <c r="V30" s="2"/>
      <c r="W30" s="18">
        <v>29</v>
      </c>
      <c r="X30" s="2"/>
      <c r="Y30" s="2"/>
      <c r="Z30" s="20"/>
      <c r="AA30" s="20"/>
      <c r="AB30" s="20"/>
      <c r="AC30" s="20"/>
      <c r="AD30" s="20"/>
      <c r="AE30" s="20"/>
      <c r="AF30" s="20"/>
      <c r="AG30" s="20"/>
      <c r="AH30" s="20"/>
      <c r="AI30" s="20"/>
      <c r="AJ30" s="3"/>
      <c r="AK30" s="3"/>
      <c r="AL30" s="3"/>
      <c r="AM30" s="3"/>
    </row>
    <row r="31" spans="10:39" ht="14" hidden="1">
      <c r="N31" s="38"/>
      <c r="O31" s="42"/>
      <c r="P31" s="42"/>
      <c r="Q31" s="42"/>
      <c r="R31" s="43"/>
      <c r="S31" s="43"/>
      <c r="T31" s="3"/>
      <c r="U31" s="2"/>
      <c r="V31" s="2"/>
      <c r="W31" s="18">
        <v>30</v>
      </c>
      <c r="X31" s="2"/>
      <c r="Y31" s="2"/>
      <c r="Z31" s="20"/>
      <c r="AA31" s="20"/>
      <c r="AB31" s="20"/>
      <c r="AC31" s="20"/>
      <c r="AD31" s="20"/>
      <c r="AE31" s="20"/>
      <c r="AF31" s="20"/>
      <c r="AG31" s="20"/>
      <c r="AH31" s="20"/>
      <c r="AI31" s="20"/>
      <c r="AJ31" s="3"/>
      <c r="AK31" s="3"/>
      <c r="AL31" s="3"/>
      <c r="AM31" s="3"/>
    </row>
    <row r="32" spans="10:39" ht="14" hidden="1">
      <c r="N32" s="38"/>
      <c r="O32" s="42"/>
      <c r="P32" s="42"/>
      <c r="Q32" s="42"/>
      <c r="R32" s="43"/>
      <c r="S32" s="43"/>
      <c r="T32" s="3"/>
      <c r="U32" s="2"/>
      <c r="V32" s="2"/>
      <c r="W32" s="18">
        <v>31</v>
      </c>
      <c r="X32" s="2"/>
      <c r="Y32" s="2"/>
      <c r="Z32" s="20"/>
      <c r="AA32" s="20"/>
      <c r="AB32" s="20"/>
      <c r="AC32" s="20"/>
      <c r="AD32" s="20"/>
      <c r="AE32" s="20"/>
      <c r="AF32" s="20"/>
      <c r="AG32" s="20"/>
      <c r="AH32" s="20"/>
      <c r="AI32" s="20"/>
      <c r="AJ32" s="3"/>
      <c r="AK32" s="3"/>
      <c r="AL32" s="3"/>
      <c r="AM32" s="3"/>
    </row>
  </sheetData>
  <sheetCalcPr fullCalcOnLoad="1"/>
  <sheetProtection algorithmName="SHA-512" hashValue="5XRAmtRPISy5KH5LRrRBIJd5OLbB4qgakintmPF84V24+HDVJDLInBBFSOiwAs4+6aIn0gT06/Wwso7YdU+JFk==" saltValue="/ZRDAxWtPn8Ooi8TFw7vxw==" spinCount="100000" sheet="1" objects="1" scenarios="1"/>
  <mergeCells count="10">
    <mergeCell ref="N7:R7"/>
    <mergeCell ref="N9:R9"/>
    <mergeCell ref="N11:S11"/>
    <mergeCell ref="AK11:AL11"/>
    <mergeCell ref="A1:E1"/>
    <mergeCell ref="A6:E6"/>
    <mergeCell ref="A3:C3"/>
    <mergeCell ref="D3:E3"/>
    <mergeCell ref="N3:R3"/>
    <mergeCell ref="N5:R5"/>
  </mergeCells>
  <phoneticPr fontId="7" type="noConversion"/>
  <conditionalFormatting sqref="B11">
    <cfRule type="expression" dxfId="1" priority="22">
      <formula>#REF!=1</formula>
    </cfRule>
  </conditionalFormatting>
  <conditionalFormatting sqref="C8">
    <cfRule type="cellIs" dxfId="0" priority="1" operator="between">
      <formula>$K$10-1</formula>
      <formula>$K$10+1</formula>
    </cfRule>
  </conditionalFormatting>
  <dataValidations count="5">
    <dataValidation type="list" allowBlank="1" showInputMessage="1" showErrorMessage="1" sqref="D3:E3">
      <formula1>$H$1:$H$9</formula1>
    </dataValidation>
    <dataValidation type="list" allowBlank="1" showInputMessage="1" showErrorMessage="1" sqref="S5">
      <formula1>$X$1:$X$19</formula1>
    </dataValidation>
    <dataValidation type="list" allowBlank="1" showInputMessage="1" showErrorMessage="1" sqref="S7">
      <formula1>$W$1:$W$31</formula1>
    </dataValidation>
    <dataValidation type="list" allowBlank="1" showInputMessage="1" showErrorMessage="1" sqref="S3">
      <formula1>$X$1:$X$19</formula1>
    </dataValidation>
    <dataValidation type="list" allowBlank="1" showInputMessage="1" showErrorMessage="1" sqref="C8">
      <formula1>$J$12:$J$21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Utah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dcterms:created xsi:type="dcterms:W3CDTF">2015-05-19T22:30:34Z</dcterms:created>
  <dcterms:modified xsi:type="dcterms:W3CDTF">2015-06-02T15:13:47Z</dcterms:modified>
</cp:coreProperties>
</file>